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P\Downloads\"/>
    </mc:Choice>
  </mc:AlternateContent>
  <xr:revisionPtr revIDLastSave="0" documentId="13_ncr:1_{AC24D2F3-5F37-45CC-AAE8-D4307F76DA0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aifei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" l="1"/>
  <c r="H13" i="1"/>
  <c r="G13" i="1"/>
  <c r="E10" i="1"/>
  <c r="D10" i="1"/>
  <c r="H9" i="1"/>
  <c r="G9" i="1"/>
  <c r="E9" i="1"/>
  <c r="D9" i="1" s="1"/>
  <c r="I9" i="1" s="1"/>
  <c r="H8" i="1"/>
  <c r="G8" i="1"/>
  <c r="E8" i="1"/>
  <c r="D8" i="1" s="1"/>
  <c r="I8" i="1" s="1"/>
  <c r="H7" i="1"/>
  <c r="G7" i="1"/>
  <c r="E7" i="1"/>
  <c r="D7" i="1" s="1"/>
  <c r="I7" i="1" s="1"/>
  <c r="I20" i="1"/>
  <c r="H20" i="1"/>
  <c r="G20" i="1"/>
  <c r="G19" i="1"/>
  <c r="D24" i="1"/>
  <c r="D23" i="1"/>
  <c r="D21" i="1"/>
  <c r="D22" i="1"/>
  <c r="R21" i="1"/>
  <c r="O24" i="1"/>
  <c r="O25" i="1" s="1"/>
  <c r="R22" i="1"/>
  <c r="D16" i="1"/>
  <c r="E16" i="1" s="1"/>
  <c r="C39" i="1"/>
  <c r="K31" i="1"/>
  <c r="D30" i="1"/>
  <c r="I25" i="1"/>
  <c r="H25" i="1"/>
  <c r="G25" i="1"/>
  <c r="D25" i="1"/>
  <c r="E25" i="1" s="1"/>
  <c r="I19" i="1"/>
  <c r="H19" i="1"/>
  <c r="D19" i="1"/>
  <c r="E19" i="1" s="1"/>
  <c r="I18" i="1"/>
  <c r="H18" i="1"/>
  <c r="G18" i="1"/>
  <c r="D18" i="1"/>
  <c r="E18" i="1" s="1"/>
  <c r="I17" i="1"/>
  <c r="H17" i="1"/>
  <c r="G17" i="1"/>
  <c r="D17" i="1"/>
  <c r="E17" i="1" s="1"/>
  <c r="I16" i="1"/>
  <c r="H16" i="1"/>
  <c r="G16" i="1"/>
  <c r="I15" i="1"/>
  <c r="H15" i="1"/>
  <c r="G15" i="1"/>
  <c r="D15" i="1"/>
  <c r="E15" i="1" s="1"/>
  <c r="C6" i="1"/>
  <c r="E20" i="1" l="1"/>
  <c r="G31" i="1"/>
  <c r="H31" i="1"/>
  <c r="D31" i="1"/>
  <c r="I31" i="1"/>
</calcChain>
</file>

<file path=xl/sharedStrings.xml><?xml version="1.0" encoding="utf-8"?>
<sst xmlns="http://schemas.openxmlformats.org/spreadsheetml/2006/main" count="65" uniqueCount="64">
  <si>
    <t>Ausgaben</t>
  </si>
  <si>
    <t>Menge</t>
  </si>
  <si>
    <t>Bestand in €</t>
  </si>
  <si>
    <t>Einzelpreis pro Portion</t>
  </si>
  <si>
    <t>Verkaufspreis pro Portion</t>
  </si>
  <si>
    <t xml:space="preserve">potenzielle Einnahmen 75% </t>
  </si>
  <si>
    <t xml:space="preserve">potenzielle Einnahmen 100% </t>
  </si>
  <si>
    <t xml:space="preserve">tatsächliche Einnahmen </t>
  </si>
  <si>
    <t>Verpflegung:</t>
  </si>
  <si>
    <t>Hier am Ende Verkaute Einheiten eintragen</t>
  </si>
  <si>
    <t>Essen:</t>
  </si>
  <si>
    <t>Würste Vegan</t>
  </si>
  <si>
    <t>Würste</t>
  </si>
  <si>
    <t>Grillkäse</t>
  </si>
  <si>
    <t>Doppebrötchen</t>
  </si>
  <si>
    <t>Zutaten für Salate</t>
  </si>
  <si>
    <t>Getränke</t>
  </si>
  <si>
    <t>Fahrkosten</t>
  </si>
  <si>
    <t>Grillkohle</t>
  </si>
  <si>
    <t xml:space="preserve">potenzielle Einnahmen 85% </t>
  </si>
  <si>
    <t>Mate + Pfand</t>
  </si>
  <si>
    <t>Urköstritzer + Pfand</t>
  </si>
  <si>
    <t>Kästen</t>
  </si>
  <si>
    <t>Vita Cola Pur + Pfand</t>
  </si>
  <si>
    <t>Plakate</t>
  </si>
  <si>
    <t>Senf 1l</t>
  </si>
  <si>
    <t>Ketchup 1l</t>
  </si>
  <si>
    <t>Landskron Hell + Pfand</t>
  </si>
  <si>
    <t>Bionade + Pfand</t>
  </si>
  <si>
    <t>Puffer</t>
  </si>
  <si>
    <t>Jever Fun Zitrone + Pfand</t>
  </si>
  <si>
    <t>Quizpreise (aka Eis)</t>
  </si>
  <si>
    <t>Arbeitsgruppe</t>
  </si>
  <si>
    <t>Kultur</t>
  </si>
  <si>
    <t>StuRa</t>
  </si>
  <si>
    <t>Tag der Fakultät</t>
  </si>
  <si>
    <t>Pilnitz Studis</t>
  </si>
  <si>
    <t>Procecco</t>
  </si>
  <si>
    <t>0,75l</t>
  </si>
  <si>
    <t>Aperol</t>
  </si>
  <si>
    <t>Eis</t>
  </si>
  <si>
    <t>Sodawasser</t>
  </si>
  <si>
    <t>1l</t>
  </si>
  <si>
    <t>9cl</t>
  </si>
  <si>
    <t>6cl</t>
  </si>
  <si>
    <t>3cl</t>
  </si>
  <si>
    <t>1 Glas:</t>
  </si>
  <si>
    <t>1,5L</t>
  </si>
  <si>
    <t>Aperol:</t>
  </si>
  <si>
    <t>Anzahl Gläser pro Flasche:</t>
  </si>
  <si>
    <t>2kg</t>
  </si>
  <si>
    <t>Crushed ICE (2Kg)</t>
  </si>
  <si>
    <t>Sodawasser (1,5L)</t>
  </si>
  <si>
    <t>Aperol Spritz (1L)</t>
  </si>
  <si>
    <t>Procecco (0,75L)</t>
  </si>
  <si>
    <t>Aperol Spritz (gemixed)</t>
  </si>
  <si>
    <t>Richtwert Anwesende Kostenkalkulation:</t>
  </si>
  <si>
    <t>Summe:</t>
  </si>
  <si>
    <t>Potenzielle Gäste:</t>
  </si>
  <si>
    <t>Anzahl</t>
  </si>
  <si>
    <t>Preis</t>
  </si>
  <si>
    <t>Produkt:</t>
  </si>
  <si>
    <t>d.h.: ca 12 Portionen pro Flasche</t>
  </si>
  <si>
    <t>das Orga Team hat sich für 24 Portionen entschieden, die insgesamt zur Verfügung stehen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</si>
</sst>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#,##0.00&quot; &quot;[$€-407]"/>
    <numFmt numFmtId="165" formatCode="#,##0.00&quot; &quot;[$€]" x16r2:formatCode16="#,##0.00&quot; &quot;[$€-en-DE]"/>
    <numFmt numFmtId="166" formatCode="[$€-462]&quot; &quot;#,##0.00&quot; &quot;"/>
    <numFmt numFmtId="167" formatCode="[$€-462]\ #,##0.00_-"/>
  </numFmts>
  <fonts count="10" x14ac:knownFonts="1">
    <font>
      <sz val="11"/>
      <color rgb="FF000000"/>
      <name val="Calibri"/>
      <family val="2"/>
    </font>
    <font>
      <sz val="11"/>
      <color rgb="FF9C0006"/>
      <name val="Calibri"/>
      <family val="2"/>
    </font>
    <font>
      <b/>
      <sz val="11"/>
      <color rgb="FFFA7D00"/>
      <name val="Calibri"/>
      <family val="2"/>
    </font>
    <font>
      <b/>
      <sz val="11"/>
      <color rgb="FFFFFFFF"/>
      <name val="Calibri"/>
      <family val="2"/>
    </font>
    <font>
      <i/>
      <sz val="11"/>
      <color rgb="FF7F7F7F"/>
      <name val="Calibri"/>
      <family val="2"/>
    </font>
    <font>
      <sz val="11"/>
      <color rgb="FF0061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color theme="0"/>
      <name val="Calibri"/>
      <family val="2"/>
    </font>
    <font>
      <sz val="1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D9E1F2"/>
        <bgColor rgb="FFD9E1F2"/>
      </patternFill>
    </fill>
    <fill>
      <patternFill patternType="solid">
        <fgColor rgb="FFBDD7EE"/>
        <bgColor rgb="FFBDD7EE"/>
      </patternFill>
    </fill>
    <fill>
      <patternFill patternType="solid">
        <fgColor rgb="FFFFFF00"/>
        <bgColor rgb="FFFFFF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double">
        <color rgb="FF3F3F3F"/>
      </left>
      <right/>
      <top/>
      <bottom style="double">
        <color rgb="FF3F3F3F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thin">
        <color rgb="FF000000"/>
      </right>
      <top style="double">
        <color rgb="FF3F3F3F"/>
      </top>
      <bottom style="double">
        <color indexed="64"/>
      </bottom>
      <diagonal/>
    </border>
    <border>
      <left style="double">
        <color rgb="FF3F3F3F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  <xf numFmtId="0" fontId="3" fillId="4" borderId="2" applyNumberFormat="0" applyAlignment="0" applyProtection="0"/>
    <xf numFmtId="0" fontId="4" fillId="0" borderId="0" applyNumberFormat="0" applyFill="0" applyBorder="0" applyAlignment="0" applyProtection="0"/>
    <xf numFmtId="0" fontId="5" fillId="5" borderId="0" applyNumberFormat="0" applyBorder="0" applyAlignment="0" applyProtection="0"/>
    <xf numFmtId="44" fontId="6" fillId="0" borderId="0" applyFont="0" applyFill="0" applyBorder="0" applyAlignment="0" applyProtection="0"/>
  </cellStyleXfs>
  <cellXfs count="49">
    <xf numFmtId="0" fontId="0" fillId="0" borderId="0" xfId="0"/>
    <xf numFmtId="0" fontId="4" fillId="6" borderId="0" xfId="4" applyFill="1"/>
    <xf numFmtId="0" fontId="4" fillId="7" borderId="3" xfId="4" applyFill="1" applyBorder="1"/>
    <xf numFmtId="0" fontId="0" fillId="0" borderId="4" xfId="0" applyBorder="1"/>
    <xf numFmtId="165" fontId="0" fillId="0" borderId="4" xfId="0" applyNumberFormat="1" applyBorder="1"/>
    <xf numFmtId="0" fontId="4" fillId="0" borderId="4" xfId="4" applyBorder="1"/>
    <xf numFmtId="0" fontId="3" fillId="4" borderId="5" xfId="3" applyBorder="1"/>
    <xf numFmtId="0" fontId="0" fillId="8" borderId="4" xfId="0" applyFill="1" applyBorder="1"/>
    <xf numFmtId="165" fontId="0" fillId="8" borderId="6" xfId="0" applyNumberFormat="1" applyFill="1" applyBorder="1"/>
    <xf numFmtId="165" fontId="0" fillId="8" borderId="4" xfId="0" applyNumberFormat="1" applyFill="1" applyBorder="1"/>
    <xf numFmtId="0" fontId="3" fillId="4" borderId="5" xfId="3" applyBorder="1" applyAlignment="1">
      <alignment horizontal="left" indent="1"/>
    </xf>
    <xf numFmtId="0" fontId="2" fillId="3" borderId="7" xfId="2" applyBorder="1" applyAlignment="1">
      <alignment horizontal="left" indent="3"/>
    </xf>
    <xf numFmtId="0" fontId="3" fillId="4" borderId="5" xfId="3" applyBorder="1" applyAlignment="1">
      <alignment horizontal="left"/>
    </xf>
    <xf numFmtId="166" fontId="1" fillId="2" borderId="0" xfId="1" applyNumberFormat="1"/>
    <xf numFmtId="166" fontId="5" fillId="5" borderId="0" xfId="5" applyNumberFormat="1"/>
    <xf numFmtId="0" fontId="2" fillId="3" borderId="8" xfId="2" applyBorder="1" applyAlignment="1">
      <alignment horizontal="left" indent="3"/>
    </xf>
    <xf numFmtId="0" fontId="0" fillId="8" borderId="9" xfId="0" applyFill="1" applyBorder="1"/>
    <xf numFmtId="0" fontId="0" fillId="8" borderId="11" xfId="0" applyFill="1" applyBorder="1"/>
    <xf numFmtId="165" fontId="0" fillId="8" borderId="11" xfId="0" applyNumberFormat="1" applyFill="1" applyBorder="1"/>
    <xf numFmtId="0" fontId="0" fillId="8" borderId="12" xfId="0" applyFill="1" applyBorder="1"/>
    <xf numFmtId="0" fontId="0" fillId="8" borderId="10" xfId="0" applyFill="1" applyBorder="1"/>
    <xf numFmtId="44" fontId="0" fillId="8" borderId="12" xfId="6" applyFont="1" applyFill="1" applyBorder="1"/>
    <xf numFmtId="0" fontId="2" fillId="3" borderId="13" xfId="2" applyBorder="1" applyAlignment="1">
      <alignment horizontal="left" indent="3"/>
    </xf>
    <xf numFmtId="0" fontId="7" fillId="0" borderId="0" xfId="3" applyFont="1" applyFill="1" applyBorder="1" applyAlignment="1">
      <alignment horizontal="left"/>
    </xf>
    <xf numFmtId="0" fontId="8" fillId="0" borderId="0" xfId="0" applyFont="1"/>
    <xf numFmtId="165" fontId="0" fillId="8" borderId="14" xfId="0" applyNumberFormat="1" applyFill="1" applyBorder="1"/>
    <xf numFmtId="0" fontId="3" fillId="4" borderId="15" xfId="3" applyBorder="1" applyAlignment="1">
      <alignment horizontal="left"/>
    </xf>
    <xf numFmtId="0" fontId="0" fillId="8" borderId="16" xfId="0" applyFill="1" applyBorder="1"/>
    <xf numFmtId="164" fontId="0" fillId="8" borderId="17" xfId="0" applyNumberFormat="1" applyFill="1" applyBorder="1"/>
    <xf numFmtId="0" fontId="0" fillId="8" borderId="18" xfId="0" applyFill="1" applyBorder="1"/>
    <xf numFmtId="0" fontId="0" fillId="8" borderId="19" xfId="0" applyFill="1" applyBorder="1"/>
    <xf numFmtId="164" fontId="0" fillId="8" borderId="19" xfId="0" applyNumberFormat="1" applyFill="1" applyBorder="1"/>
    <xf numFmtId="165" fontId="0" fillId="8" borderId="10" xfId="0" applyNumberFormat="1" applyFill="1" applyBorder="1"/>
    <xf numFmtId="0" fontId="3" fillId="4" borderId="21" xfId="3" applyBorder="1" applyAlignment="1">
      <alignment horizontal="left"/>
    </xf>
    <xf numFmtId="0" fontId="3" fillId="4" borderId="20" xfId="3" applyBorder="1" applyAlignment="1">
      <alignment horizontal="left"/>
    </xf>
    <xf numFmtId="0" fontId="9" fillId="0" borderId="0" xfId="0" applyFont="1"/>
    <xf numFmtId="0" fontId="0" fillId="9" borderId="0" xfId="0" applyFill="1"/>
    <xf numFmtId="167" fontId="0" fillId="8" borderId="4" xfId="0" applyNumberFormat="1" applyFill="1" applyBorder="1"/>
    <xf numFmtId="0" fontId="3" fillId="4" borderId="0" xfId="3" applyBorder="1" applyAlignment="1">
      <alignment horizontal="left"/>
    </xf>
    <xf numFmtId="0" fontId="0" fillId="10" borderId="10" xfId="0" applyFill="1" applyBorder="1"/>
    <xf numFmtId="0" fontId="3" fillId="4" borderId="22" xfId="3" applyBorder="1" applyAlignment="1">
      <alignment horizontal="left"/>
    </xf>
    <xf numFmtId="0" fontId="0" fillId="9" borderId="10" xfId="0" applyFill="1" applyBorder="1"/>
    <xf numFmtId="44" fontId="0" fillId="9" borderId="12" xfId="6" applyFont="1" applyFill="1" applyBorder="1"/>
    <xf numFmtId="44" fontId="0" fillId="9" borderId="12" xfId="0" applyNumberFormat="1" applyFill="1" applyBorder="1"/>
    <xf numFmtId="0" fontId="0" fillId="9" borderId="23" xfId="0" applyFill="1" applyBorder="1"/>
    <xf numFmtId="0" fontId="0" fillId="9" borderId="24" xfId="0" applyFill="1" applyBorder="1"/>
    <xf numFmtId="0" fontId="0" fillId="9" borderId="25" xfId="0" applyFill="1" applyBorder="1"/>
    <xf numFmtId="0" fontId="0" fillId="9" borderId="19" xfId="0" applyFill="1" applyBorder="1"/>
    <xf numFmtId="0" fontId="0" fillId="0" borderId="0" xfId="0" applyBorder="1"/>
  </cellXfs>
  <cellStyles count="7">
    <cellStyle name="Bad" xfId="1" xr:uid="{00000000-0005-0000-0000-000000000000}"/>
    <cellStyle name="Calculation" xfId="2" xr:uid="{00000000-0005-0000-0000-000001000000}"/>
    <cellStyle name="Check Cell" xfId="3" xr:uid="{00000000-0005-0000-0000-000002000000}"/>
    <cellStyle name="Explanatory Text" xfId="4" xr:uid="{00000000-0005-0000-0000-000003000000}"/>
    <cellStyle name="Good" xfId="5" xr:uid="{00000000-0005-0000-0000-000004000000}"/>
    <cellStyle name="Standard" xfId="0" builtinId="0" customBuiltin="1"/>
    <cellStyle name="Währung" xfId="6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0"/>
  <sheetViews>
    <sheetView tabSelected="1" zoomScale="51" workbookViewId="0">
      <selection activeCell="S18" sqref="S18"/>
    </sheetView>
  </sheetViews>
  <sheetFormatPr baseColWidth="10" defaultRowHeight="14.5" x14ac:dyDescent="0.35"/>
  <cols>
    <col min="1" max="1" width="11.453125" customWidth="1"/>
    <col min="2" max="2" width="42.26953125" customWidth="1"/>
    <col min="3" max="3" width="29.1796875" customWidth="1"/>
    <col min="4" max="4" width="20.453125" customWidth="1"/>
    <col min="5" max="5" width="25.81640625" customWidth="1"/>
    <col min="6" max="6" width="22.54296875" customWidth="1"/>
    <col min="7" max="7" width="24.54296875" customWidth="1"/>
    <col min="8" max="8" width="29.1796875" customWidth="1"/>
    <col min="9" max="10" width="26.26953125" customWidth="1"/>
    <col min="11" max="11" width="41" customWidth="1"/>
    <col min="12" max="12" width="11.453125" customWidth="1"/>
    <col min="14" max="14" width="13.36328125" customWidth="1"/>
    <col min="19" max="19" width="33.1796875" customWidth="1"/>
  </cols>
  <sheetData>
    <row r="1" spans="1:11" x14ac:dyDescent="0.35">
      <c r="A1" s="24"/>
      <c r="B1" s="23"/>
      <c r="C1" s="23"/>
      <c r="D1" s="23"/>
      <c r="E1" s="23"/>
      <c r="F1" s="23"/>
      <c r="G1" s="23"/>
      <c r="H1" s="35"/>
      <c r="I1" s="35"/>
      <c r="J1" s="35"/>
      <c r="K1" s="35"/>
    </row>
    <row r="2" spans="1:11" x14ac:dyDescent="0.35">
      <c r="B2" s="23"/>
      <c r="C2" s="23"/>
      <c r="D2" s="23"/>
      <c r="E2" s="23"/>
      <c r="F2" s="23"/>
      <c r="G2" s="23"/>
      <c r="H2" s="35"/>
      <c r="I2" s="35"/>
      <c r="J2" s="35"/>
      <c r="K2" s="35"/>
    </row>
    <row r="3" spans="1:11" x14ac:dyDescent="0.35">
      <c r="B3" s="1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19</v>
      </c>
      <c r="I3" s="2" t="s">
        <v>6</v>
      </c>
      <c r="J3" s="2"/>
      <c r="K3" s="2" t="s">
        <v>7</v>
      </c>
    </row>
    <row r="4" spans="1:11" ht="15" thickBot="1" x14ac:dyDescent="0.4">
      <c r="C4" s="3"/>
      <c r="D4" s="3"/>
      <c r="E4" s="3"/>
      <c r="F4" s="4"/>
      <c r="K4" s="5"/>
    </row>
    <row r="5" spans="1:11" ht="15.5" thickTop="1" thickBot="1" x14ac:dyDescent="0.4">
      <c r="B5" s="6" t="s">
        <v>8</v>
      </c>
      <c r="C5" s="7"/>
      <c r="D5" s="8"/>
      <c r="E5" s="7"/>
      <c r="F5" s="9"/>
      <c r="G5" s="7"/>
      <c r="H5" s="7"/>
      <c r="I5" s="7"/>
      <c r="J5" s="7"/>
      <c r="K5" s="7" t="s">
        <v>9</v>
      </c>
    </row>
    <row r="6" spans="1:11" ht="15.5" thickTop="1" thickBot="1" x14ac:dyDescent="0.4">
      <c r="B6" s="10" t="s">
        <v>10</v>
      </c>
      <c r="C6" s="10">
        <f>SUM(C7:C9)</f>
        <v>250</v>
      </c>
      <c r="D6" s="10"/>
      <c r="E6" s="10"/>
      <c r="F6" s="10"/>
      <c r="G6" s="10"/>
      <c r="H6" s="10"/>
      <c r="I6" s="10"/>
      <c r="J6" s="10"/>
      <c r="K6" s="10"/>
    </row>
    <row r="7" spans="1:11" ht="15" thickTop="1" x14ac:dyDescent="0.35">
      <c r="B7" s="11" t="s">
        <v>11</v>
      </c>
      <c r="C7" s="7">
        <v>30</v>
      </c>
      <c r="D7" s="8">
        <f>(C7*E7)</f>
        <v>52.125</v>
      </c>
      <c r="E7" s="9">
        <f>6.95/4</f>
        <v>1.7375</v>
      </c>
      <c r="F7" s="9">
        <v>2.5</v>
      </c>
      <c r="G7" s="9">
        <f>(F7)*C7*0.75</f>
        <v>56.25</v>
      </c>
      <c r="H7" s="9">
        <f>C7*F7*0.85</f>
        <v>63.75</v>
      </c>
      <c r="I7" s="9">
        <f t="shared" ref="I7:I13" si="0">(F7)*D7</f>
        <v>130.3125</v>
      </c>
      <c r="J7" s="9"/>
      <c r="K7" s="7"/>
    </row>
    <row r="8" spans="1:11" x14ac:dyDescent="0.35">
      <c r="B8" s="11" t="s">
        <v>12</v>
      </c>
      <c r="C8" s="7">
        <v>60</v>
      </c>
      <c r="D8" s="8">
        <f>C8*E8</f>
        <v>67.300000000000011</v>
      </c>
      <c r="E8" s="9">
        <f>6.73/6</f>
        <v>1.1216666666666668</v>
      </c>
      <c r="F8" s="9">
        <v>2.5</v>
      </c>
      <c r="G8" s="9">
        <f>(F8)*C8*0.75</f>
        <v>112.5</v>
      </c>
      <c r="H8" s="9">
        <f>C8*F8*0.85</f>
        <v>127.5</v>
      </c>
      <c r="I8" s="9">
        <f t="shared" si="0"/>
        <v>168.25000000000003</v>
      </c>
      <c r="J8" s="9"/>
      <c r="K8" s="7"/>
    </row>
    <row r="9" spans="1:11" x14ac:dyDescent="0.35">
      <c r="B9" s="11" t="s">
        <v>13</v>
      </c>
      <c r="C9" s="7">
        <v>160</v>
      </c>
      <c r="D9" s="8">
        <f t="shared" ref="D9:D10" si="1">C9*E9</f>
        <v>223.2</v>
      </c>
      <c r="E9" s="9">
        <f>2.79/2</f>
        <v>1.395</v>
      </c>
      <c r="F9" s="9">
        <v>2.5</v>
      </c>
      <c r="G9" s="9">
        <f>(F9)*C9*0.75</f>
        <v>300</v>
      </c>
      <c r="H9" s="9">
        <f>C9*F9*0.85</f>
        <v>340</v>
      </c>
      <c r="I9" s="9">
        <f t="shared" si="0"/>
        <v>558</v>
      </c>
      <c r="J9" s="9"/>
      <c r="K9" s="7"/>
    </row>
    <row r="10" spans="1:11" x14ac:dyDescent="0.35">
      <c r="B10" s="11" t="s">
        <v>14</v>
      </c>
      <c r="C10" s="7">
        <v>130</v>
      </c>
      <c r="D10" s="8">
        <f t="shared" si="1"/>
        <v>42.9</v>
      </c>
      <c r="E10" s="9">
        <f>0.66/2</f>
        <v>0.33</v>
      </c>
      <c r="F10" s="9"/>
      <c r="G10" s="9"/>
      <c r="H10" s="9"/>
      <c r="I10" s="9"/>
      <c r="J10" s="9"/>
      <c r="K10" s="7"/>
    </row>
    <row r="11" spans="1:11" x14ac:dyDescent="0.35">
      <c r="B11" s="11" t="s">
        <v>26</v>
      </c>
      <c r="C11" s="7">
        <v>1</v>
      </c>
      <c r="D11" s="8">
        <v>3.98</v>
      </c>
      <c r="E11" s="9"/>
      <c r="F11" s="9"/>
      <c r="G11" s="9"/>
      <c r="H11" s="9"/>
      <c r="I11" s="9"/>
      <c r="J11" s="9"/>
      <c r="K11" s="7"/>
    </row>
    <row r="12" spans="1:11" x14ac:dyDescent="0.35">
      <c r="B12" s="11" t="s">
        <v>25</v>
      </c>
      <c r="C12" s="7">
        <v>1</v>
      </c>
      <c r="D12" s="8">
        <v>2.5</v>
      </c>
      <c r="E12" s="9"/>
      <c r="F12" s="9"/>
      <c r="G12" s="9"/>
      <c r="H12" s="9"/>
      <c r="I12" s="9"/>
      <c r="J12" s="9"/>
      <c r="K12" s="7"/>
    </row>
    <row r="13" spans="1:11" ht="15" thickBot="1" x14ac:dyDescent="0.4">
      <c r="B13" s="11" t="s">
        <v>15</v>
      </c>
      <c r="C13" s="7">
        <v>50</v>
      </c>
      <c r="D13" s="8">
        <v>50</v>
      </c>
      <c r="E13" s="9">
        <v>1</v>
      </c>
      <c r="F13" s="9">
        <v>1.5</v>
      </c>
      <c r="G13" s="9">
        <f>(F13)*C13*0.75</f>
        <v>56.25</v>
      </c>
      <c r="H13" s="9">
        <f>C13*F13*0.85</f>
        <v>63.75</v>
      </c>
      <c r="I13" s="9">
        <f t="shared" ref="I13" si="2">(F13)*D13</f>
        <v>75</v>
      </c>
      <c r="J13" s="9"/>
      <c r="K13" s="7"/>
    </row>
    <row r="14" spans="1:11" ht="15.5" thickTop="1" thickBot="1" x14ac:dyDescent="0.4">
      <c r="B14" s="10" t="s">
        <v>16</v>
      </c>
      <c r="C14" s="10" t="s">
        <v>22</v>
      </c>
      <c r="D14" s="10"/>
      <c r="E14" s="10"/>
      <c r="F14" s="10"/>
      <c r="G14" s="10"/>
      <c r="H14" s="10"/>
      <c r="I14" s="10"/>
      <c r="J14" s="10"/>
      <c r="K14" s="10"/>
    </row>
    <row r="15" spans="1:11" ht="15" thickTop="1" x14ac:dyDescent="0.35">
      <c r="B15" s="11" t="s">
        <v>21</v>
      </c>
      <c r="C15" s="17">
        <v>6</v>
      </c>
      <c r="D15" s="8">
        <f>(14.99+3.1)*C15</f>
        <v>108.53999999999999</v>
      </c>
      <c r="E15" s="9">
        <f>D15/(20*C15)</f>
        <v>0.90449999999999997</v>
      </c>
      <c r="F15" s="9">
        <v>1.5</v>
      </c>
      <c r="G15" s="9">
        <f>(C15*20)*F15*0.75</f>
        <v>135</v>
      </c>
      <c r="H15" s="9">
        <f>(C15*20)*F15*0.85</f>
        <v>153</v>
      </c>
      <c r="I15" s="9">
        <f>(C15*20)*F15</f>
        <v>180</v>
      </c>
      <c r="J15" s="9"/>
      <c r="K15" s="7"/>
    </row>
    <row r="16" spans="1:11" x14ac:dyDescent="0.35">
      <c r="B16" s="15" t="s">
        <v>30</v>
      </c>
      <c r="C16" s="17">
        <v>4</v>
      </c>
      <c r="D16" s="8">
        <f>(20.56+3.42)*4</f>
        <v>95.919999999999987</v>
      </c>
      <c r="E16" s="9">
        <f>D16/(20*C16)</f>
        <v>1.1989999999999998</v>
      </c>
      <c r="F16" s="9">
        <v>1.5</v>
      </c>
      <c r="G16" s="9">
        <f>(C16*20)*F16*0.75</f>
        <v>90</v>
      </c>
      <c r="H16" s="9">
        <f t="shared" ref="H16:H17" si="3">(C16*20)*F16*0.85</f>
        <v>102</v>
      </c>
      <c r="I16" s="9">
        <f t="shared" ref="I16" si="4">(C16*20)*F16</f>
        <v>120</v>
      </c>
      <c r="J16" s="9"/>
      <c r="K16" s="7"/>
    </row>
    <row r="17" spans="2:18" x14ac:dyDescent="0.35">
      <c r="B17" s="11" t="s">
        <v>27</v>
      </c>
      <c r="C17" s="17">
        <v>6</v>
      </c>
      <c r="D17" s="8">
        <f>(15.99+3.1)*C17</f>
        <v>114.53999999999999</v>
      </c>
      <c r="E17" s="9">
        <f t="shared" ref="E17" si="5">D17/(20*C17)</f>
        <v>0.9544999999999999</v>
      </c>
      <c r="F17" s="9">
        <v>1.5</v>
      </c>
      <c r="G17" s="9">
        <f t="shared" ref="G17:G18" si="6">(C17*20)*F17*0.75</f>
        <v>135</v>
      </c>
      <c r="H17" s="9">
        <f t="shared" si="3"/>
        <v>153</v>
      </c>
      <c r="I17" s="9">
        <f>(C17*20)*F17</f>
        <v>180</v>
      </c>
      <c r="J17" s="9"/>
      <c r="K17" s="7"/>
    </row>
    <row r="18" spans="2:18" x14ac:dyDescent="0.35">
      <c r="B18" s="11" t="s">
        <v>20</v>
      </c>
      <c r="C18" s="17">
        <v>1</v>
      </c>
      <c r="D18" s="8">
        <f>(16.66+4.5)*C18</f>
        <v>21.16</v>
      </c>
      <c r="E18" s="9">
        <f>D18/(20*C18)</f>
        <v>1.0580000000000001</v>
      </c>
      <c r="F18" s="9">
        <v>1.5</v>
      </c>
      <c r="G18" s="9">
        <f t="shared" si="6"/>
        <v>22.5</v>
      </c>
      <c r="H18" s="9">
        <f>(C18*20)*F18*0.85</f>
        <v>25.5</v>
      </c>
      <c r="I18" s="9">
        <f t="shared" ref="I18" si="7">(C18*20)*F18</f>
        <v>30</v>
      </c>
      <c r="J18" s="9"/>
      <c r="K18" s="7"/>
    </row>
    <row r="19" spans="2:18" x14ac:dyDescent="0.35">
      <c r="B19" s="11" t="s">
        <v>23</v>
      </c>
      <c r="C19" s="17">
        <v>1</v>
      </c>
      <c r="D19" s="8">
        <f>(10.49+3.3)*C19</f>
        <v>13.79</v>
      </c>
      <c r="E19" s="9">
        <f>D19/(48*C19)</f>
        <v>0.28729166666666667</v>
      </c>
      <c r="F19" s="9">
        <v>1</v>
      </c>
      <c r="G19" s="9">
        <f>(C19*48)*F19*0.75</f>
        <v>36</v>
      </c>
      <c r="H19" s="9">
        <f>(C19*48)*F19*0.85</f>
        <v>40.799999999999997</v>
      </c>
      <c r="I19" s="9">
        <f t="shared" ref="I19" si="8">(C19*48)*F19</f>
        <v>48</v>
      </c>
      <c r="J19" s="9"/>
      <c r="K19" s="7"/>
    </row>
    <row r="20" spans="2:18" x14ac:dyDescent="0.35">
      <c r="B20" s="11" t="s">
        <v>55</v>
      </c>
      <c r="C20" s="17">
        <v>24</v>
      </c>
      <c r="D20" s="8"/>
      <c r="E20" s="37">
        <f>SUM(D21:D24)/C20</f>
        <v>2.0462500000000001</v>
      </c>
      <c r="F20" s="9">
        <v>3</v>
      </c>
      <c r="G20" s="9">
        <f>(C20)*F20*0.75</f>
        <v>54</v>
      </c>
      <c r="H20" s="9">
        <f>(C20)*F20*0.85</f>
        <v>61.199999999999996</v>
      </c>
      <c r="I20" s="9">
        <f>(C20)*F20</f>
        <v>72</v>
      </c>
      <c r="J20" s="9"/>
      <c r="K20" s="7"/>
      <c r="L20" s="38" t="s">
        <v>48</v>
      </c>
      <c r="M20" s="38" t="s">
        <v>61</v>
      </c>
      <c r="N20" s="38"/>
      <c r="O20" s="38" t="s">
        <v>60</v>
      </c>
      <c r="P20" s="38"/>
      <c r="Q20" s="38" t="s">
        <v>46</v>
      </c>
      <c r="R20" s="38" t="s">
        <v>49</v>
      </c>
    </row>
    <row r="21" spans="2:18" x14ac:dyDescent="0.35">
      <c r="B21" s="11" t="s">
        <v>54</v>
      </c>
      <c r="C21" s="17">
        <v>2</v>
      </c>
      <c r="D21" s="8">
        <f>5.43*C21</f>
        <v>10.86</v>
      </c>
      <c r="E21" s="9"/>
      <c r="F21" s="9"/>
      <c r="G21" s="9"/>
      <c r="H21" s="9"/>
      <c r="I21" s="9"/>
      <c r="J21" s="9"/>
      <c r="K21" s="7"/>
      <c r="L21" s="36"/>
      <c r="M21" s="41" t="s">
        <v>37</v>
      </c>
      <c r="N21" s="41" t="s">
        <v>38</v>
      </c>
      <c r="O21" s="42">
        <v>5.43</v>
      </c>
      <c r="P21" s="45"/>
      <c r="Q21" s="44" t="s">
        <v>44</v>
      </c>
      <c r="R21" s="41">
        <f>750/60</f>
        <v>12.5</v>
      </c>
    </row>
    <row r="22" spans="2:18" x14ac:dyDescent="0.35">
      <c r="B22" s="11" t="s">
        <v>53</v>
      </c>
      <c r="C22" s="17">
        <v>2</v>
      </c>
      <c r="D22" s="8">
        <f>17.12*C22</f>
        <v>34.24</v>
      </c>
      <c r="E22" s="9"/>
      <c r="F22" s="9"/>
      <c r="G22" s="9"/>
      <c r="H22" s="9"/>
      <c r="I22" s="9"/>
      <c r="J22" s="9"/>
      <c r="K22" s="7"/>
      <c r="L22" s="36"/>
      <c r="M22" s="41" t="s">
        <v>39</v>
      </c>
      <c r="N22" s="41" t="s">
        <v>42</v>
      </c>
      <c r="O22" s="42">
        <v>17.12</v>
      </c>
      <c r="P22" s="46"/>
      <c r="Q22" s="44" t="s">
        <v>43</v>
      </c>
      <c r="R22" s="41">
        <f>1000/90</f>
        <v>11.111111111111111</v>
      </c>
    </row>
    <row r="23" spans="2:18" x14ac:dyDescent="0.35">
      <c r="B23" s="11" t="s">
        <v>52</v>
      </c>
      <c r="C23" s="17">
        <v>2</v>
      </c>
      <c r="D23" s="8">
        <f>(0.69+0.25)*C23</f>
        <v>1.88</v>
      </c>
      <c r="E23" s="9"/>
      <c r="F23" s="9"/>
      <c r="G23" s="9"/>
      <c r="H23" s="9"/>
      <c r="I23" s="9"/>
      <c r="J23" s="9"/>
      <c r="K23" s="7"/>
      <c r="L23" s="36"/>
      <c r="M23" s="41" t="s">
        <v>40</v>
      </c>
      <c r="N23" s="41" t="s">
        <v>50</v>
      </c>
      <c r="O23" s="42">
        <v>2.13</v>
      </c>
      <c r="P23" s="46"/>
      <c r="Q23" s="44"/>
      <c r="R23" s="41"/>
    </row>
    <row r="24" spans="2:18" x14ac:dyDescent="0.35">
      <c r="B24" s="11" t="s">
        <v>51</v>
      </c>
      <c r="C24" s="17">
        <v>1</v>
      </c>
      <c r="D24" s="8">
        <f>2.13*C24</f>
        <v>2.13</v>
      </c>
      <c r="E24" s="9"/>
      <c r="F24" s="9"/>
      <c r="G24" s="9"/>
      <c r="H24" s="9"/>
      <c r="I24" s="9"/>
      <c r="J24" s="9"/>
      <c r="K24" s="7"/>
      <c r="L24" s="36"/>
      <c r="M24" s="41" t="s">
        <v>41</v>
      </c>
      <c r="N24" s="41" t="s">
        <v>47</v>
      </c>
      <c r="O24" s="42">
        <f>0.69+0.25</f>
        <v>0.94</v>
      </c>
      <c r="P24" s="46"/>
      <c r="Q24" s="44" t="s">
        <v>45</v>
      </c>
      <c r="R24" s="41"/>
    </row>
    <row r="25" spans="2:18" ht="15" thickBot="1" x14ac:dyDescent="0.4">
      <c r="B25" s="22" t="s">
        <v>28</v>
      </c>
      <c r="C25" s="17">
        <v>4</v>
      </c>
      <c r="D25" s="8">
        <f>(10.42+2.46)*C25</f>
        <v>51.519999999999996</v>
      </c>
      <c r="E25" s="9">
        <f>D25/(12*C25)</f>
        <v>1.0733333333333333</v>
      </c>
      <c r="F25" s="9">
        <v>1</v>
      </c>
      <c r="G25" s="9">
        <f>(C25*24)*F25*0.75</f>
        <v>72</v>
      </c>
      <c r="H25" s="9">
        <f>(C25*24)*F25*0.85</f>
        <v>81.599999999999994</v>
      </c>
      <c r="I25" s="9">
        <f>(C25*24)*F25</f>
        <v>96</v>
      </c>
      <c r="J25" s="9"/>
      <c r="K25" s="7"/>
      <c r="L25" s="36"/>
      <c r="M25" s="41" t="s">
        <v>57</v>
      </c>
      <c r="N25" s="41"/>
      <c r="O25" s="43">
        <f>SUM(O21:O24)/12</f>
        <v>2.1350000000000002</v>
      </c>
      <c r="P25" s="47"/>
      <c r="Q25" s="44"/>
      <c r="R25" s="41" t="s">
        <v>62</v>
      </c>
    </row>
    <row r="26" spans="2:18" ht="15.5" thickTop="1" thickBot="1" x14ac:dyDescent="0.4">
      <c r="B26" s="12" t="s">
        <v>31</v>
      </c>
      <c r="C26" s="17"/>
      <c r="D26" s="8">
        <v>25</v>
      </c>
      <c r="E26" s="9"/>
      <c r="F26" s="9"/>
      <c r="G26" s="9"/>
      <c r="H26" s="9"/>
      <c r="I26" s="9"/>
      <c r="J26" s="9"/>
      <c r="K26" s="7"/>
      <c r="L26" s="48"/>
      <c r="R26" t="s">
        <v>63</v>
      </c>
    </row>
    <row r="27" spans="2:18" ht="15.5" thickTop="1" thickBot="1" x14ac:dyDescent="0.4">
      <c r="B27" s="34" t="s">
        <v>17</v>
      </c>
      <c r="C27" s="17"/>
      <c r="D27" s="25">
        <v>30</v>
      </c>
      <c r="E27" s="18"/>
      <c r="F27" s="18"/>
      <c r="G27" s="18"/>
      <c r="H27" s="18"/>
      <c r="I27" s="18"/>
      <c r="J27" s="18"/>
      <c r="K27" s="17"/>
    </row>
    <row r="28" spans="2:18" ht="15.5" thickTop="1" thickBot="1" x14ac:dyDescent="0.4">
      <c r="B28" s="33" t="s">
        <v>29</v>
      </c>
      <c r="C28" s="20"/>
      <c r="D28" s="32">
        <v>50</v>
      </c>
      <c r="E28" s="32"/>
      <c r="F28" s="32"/>
      <c r="G28" s="32"/>
      <c r="H28" s="32"/>
      <c r="I28" s="32"/>
      <c r="J28" s="32"/>
      <c r="K28" s="20"/>
    </row>
    <row r="29" spans="2:18" ht="15.5" thickTop="1" thickBot="1" x14ac:dyDescent="0.4">
      <c r="B29" s="26" t="s">
        <v>18</v>
      </c>
      <c r="C29" s="27"/>
      <c r="D29" s="28">
        <v>30</v>
      </c>
      <c r="E29" s="29"/>
      <c r="F29" s="30"/>
      <c r="G29" s="31"/>
      <c r="H29" s="31"/>
      <c r="I29" s="31"/>
      <c r="J29" s="31"/>
      <c r="K29" s="30"/>
      <c r="N29" s="48"/>
    </row>
    <row r="30" spans="2:18" ht="15.5" thickTop="1" thickBot="1" x14ac:dyDescent="0.4">
      <c r="B30" s="12" t="s">
        <v>24</v>
      </c>
      <c r="C30" s="16">
        <v>3</v>
      </c>
      <c r="D30" s="21">
        <f>C30*9</f>
        <v>27</v>
      </c>
      <c r="E30" s="21">
        <v>9</v>
      </c>
      <c r="F30" s="19"/>
      <c r="G30" s="21"/>
      <c r="H30" s="21"/>
      <c r="I30" s="21"/>
      <c r="J30" s="19"/>
      <c r="K30" s="20"/>
    </row>
    <row r="31" spans="2:18" ht="15" thickTop="1" x14ac:dyDescent="0.35">
      <c r="D31" s="13">
        <f>SUM(D7:D30)</f>
        <v>1058.5849999999998</v>
      </c>
      <c r="G31" s="14">
        <f>SUM(G7:G29)</f>
        <v>1069.5</v>
      </c>
      <c r="H31" s="14">
        <f t="shared" ref="H31" si="9">SUM(H7:H29)</f>
        <v>1212.0999999999999</v>
      </c>
      <c r="I31" s="14">
        <f>SUM(I7:I29)</f>
        <v>1657.5625</v>
      </c>
      <c r="J31" s="14"/>
      <c r="K31" s="14" t="e">
        <f>SUM(K7:K27)-#REF!</f>
        <v>#REF!</v>
      </c>
    </row>
    <row r="33" spans="2:3" x14ac:dyDescent="0.35">
      <c r="B33" s="40" t="s">
        <v>58</v>
      </c>
      <c r="C33" s="38" t="s">
        <v>59</v>
      </c>
    </row>
    <row r="34" spans="2:3" x14ac:dyDescent="0.35">
      <c r="B34" s="39" t="s">
        <v>32</v>
      </c>
      <c r="C34" s="39">
        <v>6</v>
      </c>
    </row>
    <row r="35" spans="2:3" x14ac:dyDescent="0.35">
      <c r="B35" s="39" t="s">
        <v>33</v>
      </c>
      <c r="C35" s="39">
        <v>10</v>
      </c>
    </row>
    <row r="36" spans="2:3" x14ac:dyDescent="0.35">
      <c r="B36" s="39" t="s">
        <v>34</v>
      </c>
      <c r="C36" s="39">
        <v>10</v>
      </c>
    </row>
    <row r="37" spans="2:3" x14ac:dyDescent="0.35">
      <c r="B37" s="39" t="s">
        <v>35</v>
      </c>
      <c r="C37" s="39">
        <v>80</v>
      </c>
    </row>
    <row r="38" spans="2:3" x14ac:dyDescent="0.35">
      <c r="B38" s="39" t="s">
        <v>36</v>
      </c>
      <c r="C38" s="39">
        <v>40</v>
      </c>
    </row>
    <row r="39" spans="2:3" x14ac:dyDescent="0.35">
      <c r="B39" s="39" t="s">
        <v>57</v>
      </c>
      <c r="C39" s="39">
        <f>SUM(C34:C38)</f>
        <v>146</v>
      </c>
    </row>
    <row r="40" spans="2:3" x14ac:dyDescent="0.35">
      <c r="B40" s="39" t="s">
        <v>56</v>
      </c>
      <c r="C40" s="39">
        <v>150</v>
      </c>
    </row>
  </sheetData>
  <pageMargins left="0.70000000000000007" right="0.70000000000000007" top="0.78740157500000008" bottom="0.78740157500000008" header="0.30000000000000004" footer="0.30000000000000004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Maifeier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 Uhlig</dc:creator>
  <cp:lastModifiedBy>d061608a, 0c542021</cp:lastModifiedBy>
  <dcterms:created xsi:type="dcterms:W3CDTF">2022-04-25T12:41:24Z</dcterms:created>
  <dcterms:modified xsi:type="dcterms:W3CDTF">2024-04-15T18:56:19Z</dcterms:modified>
</cp:coreProperties>
</file>